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<sst xmlns="http://schemas.openxmlformats.org/spreadsheetml/2006/main" count="125" uniqueCount="121">
  <si>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</si>
  <si>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</si>
  <si>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</si>
  <si>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</si>
  <si>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</si>
  <si>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</si>
  <si>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</si>
  <si>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</si>
  <si>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</si>
  <si>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</si>
  <si>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</si>
  <si>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</si>
  <si>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</si>
  <si>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</si>
  <si>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</si>
  <si>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</si>
  <si>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</si>
  <si>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</si>
  <si>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</si>
  <si>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</si>
  <si>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</si>
  <si>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</si>
  <si>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</si>
  <si>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</si>
  <si>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</si>
  <si>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</si>
  <si>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</si>
  <si>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</si>
  <si>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</si>
  <si>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</si>
  <si>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</si>
  <si>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</si>
  <si>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</si>
  <si>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</si>
  <si>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</si>
  <si>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</si>
  <si>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</si>
  <si>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</si>
  <si>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</si>
  <si>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</si>
  <si>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</si>
  <si>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</si>
  <si>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</si>
  <si>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</si>
  <si>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</si>
  <si>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</si>
  <si>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</si>
  <si>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</si>
  <si>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</si>
  <si>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</si>
  <si>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</si>
  <si>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</si>
  <si>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</si>
  <si>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</si>
  <si>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</si>
  <si>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</si>
  <si>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</si>
  <si>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</si>
  <si>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</si>
  <si>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</si>
  <si>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</si>
  <si>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</si>
  <si>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</si>
  <si>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</si>
  <si>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</si>
  <si>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</si>
  <si>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</si>
  <si>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</si>
  <si>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</si>
  <si>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</si>
  <si>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</si>
  <si>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</si>
  <si>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</si>
  <si>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</si>
  <si>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</si>
  <si>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</si>
  <si>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</si>
  <si>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</si>
  <si>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</si>
  <si>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</si>
  <si>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</si>
  <si>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</si>
  <si>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</si>
  <si>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</si>
  <si>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</si>
  <si>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</si>
  <si>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</si>
  <si>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</si>
  <si>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</si>
  <si>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</si>
  <si>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</si>
  <si>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</si>
  <si>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</si>
  <si>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</si>
  <si>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</si>
  <si>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</si>
  <si>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</si>
  <si>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</si>
  <si>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</si>
  <si>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</si>
  <si>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</si>
  <si>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</si>
  <si>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</si>
  <si>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</si>
  <si>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</si>
  <si>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</si>
  <si>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</si>
  <si>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</si>
  <si>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</si>
  <si>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</si>
  <si>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</si>
  <si>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</si>
  <si>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</si>
  <si>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</si>
  <si>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</si>
  <si>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</si>
  <si>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</si>
  <si>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</si>
  <si>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Відсоток виконання до плану 8 місяців</t>
  </si>
  <si>
    <t>Залишок призначень до плану 9 місяців</t>
  </si>
  <si>
    <t>Профінансовано станом на 01.09.16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</si>
</sst>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7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4" fillId="0" borderId="16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7" xfId="82" applyFont="1" applyBorder="1" applyAlignment="1">
      <alignment horizontal="center" wrapText="1"/>
      <protection/>
    </xf>
    <xf numFmtId="0" fontId="12" fillId="20" borderId="14" xfId="0" applyFont="1" applyFill="1" applyBorder="1" applyAlignment="1">
      <alignment horizontal="center" vertical="center" wrapText="1"/>
    </xf>
    <xf numFmtId="0" fontId="12" fillId="20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5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" sqref="I1:Y16384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hidden="1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customWidth="1"/>
    <col min="27" max="16384" width="9.33203125" style="7" customWidth="1"/>
  </cols>
  <sheetData>
    <row r="1" spans="1:8" ht="21" customHeight="1">
      <c r="A1" s="82" t="s">
        <v>10</v>
      </c>
      <c r="B1" s="82"/>
      <c r="C1" s="82"/>
      <c r="D1" s="82"/>
      <c r="E1" s="82"/>
      <c r="F1" s="82"/>
      <c r="G1" s="82"/>
      <c r="H1" s="82"/>
    </row>
    <row r="2" spans="1:8" ht="20.25" customHeight="1">
      <c r="A2" s="83" t="s">
        <v>11</v>
      </c>
      <c r="B2" s="83"/>
      <c r="C2" s="83"/>
      <c r="D2" s="83"/>
      <c r="E2" s="83"/>
      <c r="F2" s="83"/>
      <c r="G2" s="83"/>
      <c r="H2" s="83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85" t="s">
        <v>7</v>
      </c>
      <c r="B4" s="12"/>
      <c r="C4" s="85" t="s">
        <v>13</v>
      </c>
      <c r="D4" s="84" t="s">
        <v>14</v>
      </c>
      <c r="E4" s="84" t="s">
        <v>0</v>
      </c>
      <c r="F4" s="84" t="s">
        <v>1</v>
      </c>
      <c r="G4" s="14" t="s">
        <v>2</v>
      </c>
      <c r="H4" s="84" t="s">
        <v>120</v>
      </c>
      <c r="I4" s="86" t="s">
        <v>41</v>
      </c>
      <c r="J4" s="86" t="s">
        <v>118</v>
      </c>
      <c r="K4" s="91" t="s">
        <v>119</v>
      </c>
      <c r="L4" s="86" t="s">
        <v>42</v>
      </c>
      <c r="M4" s="86" t="s">
        <v>43</v>
      </c>
      <c r="N4" s="86" t="s">
        <v>44</v>
      </c>
      <c r="O4" s="86" t="s">
        <v>45</v>
      </c>
      <c r="P4" s="86" t="s">
        <v>46</v>
      </c>
      <c r="Q4" s="86" t="s">
        <v>47</v>
      </c>
      <c r="R4" s="86" t="s">
        <v>48</v>
      </c>
      <c r="S4" s="86" t="s">
        <v>49</v>
      </c>
      <c r="T4" s="86" t="s">
        <v>50</v>
      </c>
      <c r="U4" s="86" t="s">
        <v>51</v>
      </c>
      <c r="V4" s="86" t="s">
        <v>52</v>
      </c>
      <c r="W4" s="86" t="s">
        <v>53</v>
      </c>
      <c r="X4" s="86" t="s">
        <v>54</v>
      </c>
    </row>
    <row r="5" spans="1:24" ht="55.5" customHeight="1">
      <c r="A5" s="85"/>
      <c r="B5" s="15" t="s">
        <v>8</v>
      </c>
      <c r="C5" s="85"/>
      <c r="D5" s="84"/>
      <c r="E5" s="84"/>
      <c r="F5" s="84"/>
      <c r="G5" s="13" t="s">
        <v>6</v>
      </c>
      <c r="H5" s="84"/>
      <c r="I5" s="87"/>
      <c r="J5" s="93"/>
      <c r="K5" s="92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7"/>
      <c r="K6" s="49"/>
    </row>
    <row r="7" spans="1:25" s="16" customFormat="1" ht="19.5" customHeight="1">
      <c r="A7" s="88" t="s">
        <v>15</v>
      </c>
      <c r="B7" s="89"/>
      <c r="C7" s="89"/>
      <c r="D7" s="89"/>
      <c r="E7" s="89"/>
      <c r="F7" s="89"/>
      <c r="G7" s="89"/>
      <c r="H7" s="89"/>
      <c r="I7" s="90"/>
      <c r="J7" s="68"/>
      <c r="K7" s="50"/>
      <c r="Y7" s="71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92594106.59</v>
      </c>
      <c r="I8" s="67">
        <f>H8/D8*100</f>
        <v>63.01462347338899</v>
      </c>
      <c r="J8" s="72">
        <f>H8/(L8+M8+N8+O8+P8+Q8+R8+N25+O25+P25+Q25+R25+S8+S25)*100</f>
        <v>84.20041788990127</v>
      </c>
      <c r="K8" s="64">
        <f>K9+K17</f>
        <v>4580540.089999998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1"/>
    </row>
    <row r="9" spans="1:25" ht="18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25469465.060000002</v>
      </c>
      <c r="I9" s="23">
        <f>H9/D9*100</f>
        <v>64.07934272103094</v>
      </c>
      <c r="J9" s="72">
        <f>H9/(L9+M9+N9+O9+P9+Q9+R9+S9+M17+N17+O17+P17+Q17+R17+S17)*100</f>
        <v>87.92980453903841</v>
      </c>
      <c r="K9" s="23">
        <f>L9+M9+N9+O9+P9+Q9+R9+S9-H10-H11-H12-H13-H14-H15-H16</f>
        <v>422417.1999999983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1"/>
    </row>
    <row r="10" spans="1:25" ht="18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</f>
        <v>12918718.690000001</v>
      </c>
      <c r="I10" s="46">
        <f>H10/D10*100</f>
        <v>94.3041002262939</v>
      </c>
      <c r="J10" s="94">
        <f>(H10+H11+H12+H13+H14)/(L9+M9+N9+O9+P9+Q9+R9)*100</f>
        <v>100.11581062723273</v>
      </c>
      <c r="K10" s="51">
        <f aca="true" t="shared" si="2" ref="K10:K15">E10-H10</f>
        <v>780281.3099999987</v>
      </c>
      <c r="Y10" s="71"/>
    </row>
    <row r="11" spans="1:25" ht="18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95"/>
      <c r="K11" s="51">
        <f t="shared" si="2"/>
        <v>9626.879999999597</v>
      </c>
      <c r="Y11" s="71"/>
    </row>
    <row r="12" spans="1:25" s="4" customFormat="1" ht="18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</f>
        <v>2868840.16</v>
      </c>
      <c r="I12" s="46">
        <f aca="true" t="shared" si="3" ref="I12:I24">H12/D12*100</f>
        <v>79.90212728024592</v>
      </c>
      <c r="J12" s="95"/>
      <c r="K12" s="51">
        <f t="shared" si="2"/>
        <v>721602.6200000001</v>
      </c>
      <c r="Y12" s="71"/>
    </row>
    <row r="13" spans="1:25" ht="18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</f>
        <v>1121156</v>
      </c>
      <c r="I13" s="46">
        <f t="shared" si="3"/>
        <v>40.04128571428571</v>
      </c>
      <c r="J13" s="95"/>
      <c r="K13" s="51">
        <f t="shared" si="2"/>
        <v>1678844</v>
      </c>
      <c r="Y13" s="71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96"/>
      <c r="K14" s="51">
        <f>E14-H14</f>
        <v>25500</v>
      </c>
      <c r="Y14" s="71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319398.5+58700</f>
        <v>378098.5</v>
      </c>
      <c r="I15" s="46">
        <f t="shared" si="3"/>
        <v>99.9187961663799</v>
      </c>
      <c r="J15" s="74"/>
      <c r="K15" s="51">
        <f t="shared" si="2"/>
        <v>307.28000000002794</v>
      </c>
      <c r="T15" s="75">
        <v>378405.78</v>
      </c>
      <c r="Y15" s="71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74"/>
      <c r="K16" s="51">
        <f>E16-H16</f>
        <v>6511739.26</v>
      </c>
      <c r="V16" s="75">
        <v>2000000</v>
      </c>
      <c r="W16" s="75">
        <v>4511739.26</v>
      </c>
      <c r="Y16" s="71"/>
    </row>
    <row r="17" spans="1:25" ht="36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7656302.510000001</v>
      </c>
      <c r="I17" s="46">
        <f t="shared" si="3"/>
        <v>62.72727094718042</v>
      </c>
      <c r="J17" s="94">
        <f>H17/(L17+M17+N17+O17+P17+Q17+R17)*100</f>
        <v>88.50028517558349</v>
      </c>
      <c r="K17" s="73">
        <f>L17+M17+N17+O17+P17+Q17+R17+S17+T17-H17</f>
        <v>4158122.8899999997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1"/>
    </row>
    <row r="18" spans="1:25" ht="18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</f>
        <v>3731001.4400000004</v>
      </c>
      <c r="I18" s="47">
        <f>H18/D18*100</f>
        <v>82.66315365016064</v>
      </c>
      <c r="J18" s="95"/>
      <c r="K18" s="63"/>
      <c r="Y18" s="71"/>
    </row>
    <row r="19" spans="1:25" ht="18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</f>
        <v>2524659.5999999996</v>
      </c>
      <c r="I19" s="47">
        <f>H19/D19*100</f>
        <v>47.38830993317816</v>
      </c>
      <c r="J19" s="95"/>
      <c r="K19" s="63"/>
      <c r="Y19" s="71"/>
    </row>
    <row r="20" spans="1:25" ht="18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</f>
        <v>298330.4</v>
      </c>
      <c r="I20" s="47"/>
      <c r="J20" s="95"/>
      <c r="K20" s="63"/>
      <c r="Y20" s="71"/>
    </row>
    <row r="21" spans="1:25" ht="36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</f>
        <v>894345.9000000001</v>
      </c>
      <c r="I21" s="47">
        <f t="shared" si="3"/>
        <v>86.90563599261492</v>
      </c>
      <c r="J21" s="95"/>
      <c r="K21" s="63"/>
      <c r="Y21" s="71"/>
    </row>
    <row r="22" spans="1:25" ht="18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95"/>
      <c r="K22" s="63"/>
      <c r="Y22" s="71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95"/>
      <c r="K23" s="63"/>
      <c r="Y23" s="71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96"/>
      <c r="K24" s="63"/>
      <c r="Y24" s="71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67124641.53</v>
      </c>
      <c r="I25" s="45">
        <f>H25/D25*100</f>
        <v>62.61983287205833</v>
      </c>
      <c r="J25" s="70">
        <f>H25/(L25+M25+N25+O25+P25+Q25+R25+S25)*100</f>
        <v>82.86683534728535</v>
      </c>
      <c r="K25" s="52">
        <f>L25+M25+N25+O25+P25+Q25+R25+S25+T25-H25</f>
        <v>19336699.519999996</v>
      </c>
      <c r="L25" s="62">
        <f aca="true" t="shared" si="5" ref="L25:X25">SUM(L26:L45)</f>
        <v>0</v>
      </c>
      <c r="M25" s="62">
        <f t="shared" si="5"/>
        <v>0</v>
      </c>
      <c r="N25" s="62">
        <f t="shared" si="5"/>
        <v>5770000</v>
      </c>
      <c r="O25" s="62">
        <f t="shared" si="5"/>
        <v>14486801.99</v>
      </c>
      <c r="P25" s="62">
        <f>SUM(P26:P45)</f>
        <v>13603977.01</v>
      </c>
      <c r="Q25" s="62">
        <f t="shared" si="5"/>
        <v>3768235.38</v>
      </c>
      <c r="R25" s="62">
        <f t="shared" si="5"/>
        <v>18763192.62</v>
      </c>
      <c r="S25" s="62">
        <f t="shared" si="5"/>
        <v>24610815.8</v>
      </c>
      <c r="T25" s="62">
        <f t="shared" si="5"/>
        <v>5458318.25</v>
      </c>
      <c r="U25" s="62">
        <f t="shared" si="5"/>
        <v>9006629.57</v>
      </c>
      <c r="V25" s="62">
        <f t="shared" si="5"/>
        <v>4477591.18</v>
      </c>
      <c r="W25" s="62">
        <f t="shared" si="5"/>
        <v>7248339</v>
      </c>
      <c r="X25" s="62">
        <f t="shared" si="5"/>
        <v>107193900.8</v>
      </c>
      <c r="Y25" s="71">
        <f aca="true" t="shared" si="6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9">
        <f aca="true" t="shared" si="7" ref="J26:J89">H26/(L26+M26+N26+O26+P26+Q26+R26+S26)*100</f>
        <v>40.476190476190474</v>
      </c>
      <c r="K26" s="52">
        <f aca="true" t="shared" si="8" ref="K26:K89">L26+M26+N26+O26+P26+Q26+R26+S26+T26-H26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6">
        <f>SUM(L26:W26)</f>
        <v>420000</v>
      </c>
      <c r="Y26" s="77">
        <f t="shared" si="6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9" ref="D27:D42">F27</f>
        <v>40000</v>
      </c>
      <c r="E27" s="30"/>
      <c r="F27" s="32">
        <f aca="true" t="shared" si="10" ref="F27:F42">G27</f>
        <v>40000</v>
      </c>
      <c r="G27" s="32">
        <f>590000-550000</f>
        <v>40000</v>
      </c>
      <c r="H27" s="25"/>
      <c r="I27" s="45"/>
      <c r="J27" s="69">
        <f t="shared" si="7"/>
        <v>0</v>
      </c>
      <c r="K27" s="52">
        <f t="shared" si="8"/>
        <v>40000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6">
        <f aca="true" t="shared" si="11" ref="X27:X45">SUM(L27:W27)</f>
        <v>40000</v>
      </c>
      <c r="Y27" s="77">
        <f t="shared" si="6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9"/>
        <v>378000</v>
      </c>
      <c r="E28" s="30"/>
      <c r="F28" s="32">
        <f t="shared" si="10"/>
        <v>378000</v>
      </c>
      <c r="G28" s="32">
        <f>471000-93000</f>
        <v>378000</v>
      </c>
      <c r="H28" s="25">
        <f>270000+107958.84</f>
        <v>377958.83999999997</v>
      </c>
      <c r="I28" s="46">
        <f>H28/D28*100</f>
        <v>99.9891111111111</v>
      </c>
      <c r="J28" s="69">
        <f t="shared" si="7"/>
        <v>99.9891111111111</v>
      </c>
      <c r="K28" s="52">
        <f t="shared" si="8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6">
        <f t="shared" si="11"/>
        <v>378000</v>
      </c>
      <c r="Y28" s="77">
        <f t="shared" si="6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9"/>
        <v>360000</v>
      </c>
      <c r="E29" s="30"/>
      <c r="F29" s="32">
        <f t="shared" si="10"/>
        <v>360000</v>
      </c>
      <c r="G29" s="32">
        <f>320000+40000</f>
        <v>360000</v>
      </c>
      <c r="H29" s="25">
        <f>20000+15000+230000+75265.57</f>
        <v>340265.57</v>
      </c>
      <c r="I29" s="46">
        <f>H29/D29*100</f>
        <v>94.5182138888889</v>
      </c>
      <c r="J29" s="69">
        <f t="shared" si="7"/>
        <v>94.5182138888889</v>
      </c>
      <c r="K29" s="52">
        <f t="shared" si="8"/>
        <v>19734.429999999993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6">
        <f t="shared" si="11"/>
        <v>360000</v>
      </c>
      <c r="Y29" s="77">
        <f t="shared" si="6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9"/>
        <v>402000</v>
      </c>
      <c r="E30" s="30"/>
      <c r="F30" s="32">
        <f t="shared" si="10"/>
        <v>402000</v>
      </c>
      <c r="G30" s="32">
        <f>250000+152000</f>
        <v>402000</v>
      </c>
      <c r="H30" s="25">
        <f>20000+15000+147000</f>
        <v>182000</v>
      </c>
      <c r="I30" s="46">
        <f>H30/D30*100</f>
        <v>45.27363184079602</v>
      </c>
      <c r="J30" s="69">
        <f t="shared" si="7"/>
        <v>45.27363184079602</v>
      </c>
      <c r="K30" s="52">
        <f t="shared" si="8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6">
        <f t="shared" si="11"/>
        <v>402000</v>
      </c>
      <c r="Y30" s="77">
        <f t="shared" si="6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9"/>
        <v>700000</v>
      </c>
      <c r="E31" s="30"/>
      <c r="F31" s="32">
        <f t="shared" si="10"/>
        <v>700000</v>
      </c>
      <c r="G31" s="32">
        <f>700000</f>
        <v>700000</v>
      </c>
      <c r="H31" s="25"/>
      <c r="I31" s="46"/>
      <c r="J31" s="69">
        <f t="shared" si="7"/>
        <v>0</v>
      </c>
      <c r="K31" s="52">
        <f t="shared" si="8"/>
        <v>700000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6">
        <f t="shared" si="11"/>
        <v>700000</v>
      </c>
      <c r="Y31" s="77">
        <f t="shared" si="6"/>
        <v>0</v>
      </c>
    </row>
    <row r="32" spans="1:25" s="4" customFormat="1" ht="24" customHeight="1">
      <c r="A32" s="1"/>
      <c r="B32" s="5"/>
      <c r="C32" s="81" t="s">
        <v>117</v>
      </c>
      <c r="D32" s="32">
        <f t="shared" si="9"/>
        <v>541000</v>
      </c>
      <c r="E32" s="30"/>
      <c r="F32" s="32">
        <f t="shared" si="10"/>
        <v>541000</v>
      </c>
      <c r="G32" s="32">
        <f>291000+250000</f>
        <v>541000</v>
      </c>
      <c r="H32" s="25"/>
      <c r="I32" s="45"/>
      <c r="J32" s="69">
        <f t="shared" si="7"/>
        <v>0</v>
      </c>
      <c r="K32" s="52">
        <f t="shared" si="8"/>
        <v>250000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6">
        <f t="shared" si="11"/>
        <v>541000</v>
      </c>
      <c r="Y32" s="77">
        <f t="shared" si="6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9"/>
        <v>1050000</v>
      </c>
      <c r="E33" s="30"/>
      <c r="F33" s="32">
        <f t="shared" si="10"/>
        <v>1050000</v>
      </c>
      <c r="G33" s="32">
        <f>700000+350000</f>
        <v>1050000</v>
      </c>
      <c r="H33" s="25">
        <f>14000+433000</f>
        <v>447000</v>
      </c>
      <c r="I33" s="46">
        <f>H33/D33*100</f>
        <v>42.57142857142857</v>
      </c>
      <c r="J33" s="69">
        <f t="shared" si="7"/>
        <v>55.75922989892236</v>
      </c>
      <c r="K33" s="52">
        <f t="shared" si="8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6">
        <f>SUM(L33:W33)</f>
        <v>1050000</v>
      </c>
      <c r="Y33" s="77">
        <f t="shared" si="6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9"/>
        <v>7000000</v>
      </c>
      <c r="E34" s="30"/>
      <c r="F34" s="32">
        <f t="shared" si="10"/>
        <v>7000000</v>
      </c>
      <c r="G34" s="32">
        <v>7000000</v>
      </c>
      <c r="H34" s="25">
        <f>146000+118000</f>
        <v>264000</v>
      </c>
      <c r="I34" s="46">
        <f>H34/D34*100</f>
        <v>3.7714285714285714</v>
      </c>
      <c r="J34" s="69">
        <f t="shared" si="7"/>
        <v>6</v>
      </c>
      <c r="K34" s="52">
        <f t="shared" si="8"/>
        <v>3302000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f>100000-934000</f>
        <v>-834000</v>
      </c>
      <c r="U34" s="43">
        <f>2500000+934000</f>
        <v>3434000</v>
      </c>
      <c r="V34" s="43"/>
      <c r="W34" s="43"/>
      <c r="X34" s="76">
        <f t="shared" si="11"/>
        <v>7000000</v>
      </c>
      <c r="Y34" s="77">
        <f t="shared" si="6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9"/>
        <v>23000000</v>
      </c>
      <c r="E35" s="30"/>
      <c r="F35" s="32">
        <f t="shared" si="10"/>
        <v>23000000</v>
      </c>
      <c r="G35" s="32">
        <v>23000000</v>
      </c>
      <c r="H35" s="25">
        <f>250000+350000+11000000+385798+506503.4+2540985.6+1579928.6</f>
        <v>16613215.6</v>
      </c>
      <c r="I35" s="46">
        <f aca="true" t="shared" si="12" ref="I35:I41">H35/D35*100</f>
        <v>72.23137217391304</v>
      </c>
      <c r="J35" s="69">
        <f t="shared" si="7"/>
        <v>110.49694446291984</v>
      </c>
      <c r="K35" s="52">
        <f t="shared" si="8"/>
        <v>21784.400000000373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f>820000+2535000</f>
        <v>3355000</v>
      </c>
      <c r="T35" s="43">
        <v>1600000</v>
      </c>
      <c r="U35" s="43">
        <f>152379.64+3774249.93-1600000</f>
        <v>2326629.5700000003</v>
      </c>
      <c r="V35" s="43">
        <f>3073370.43-1535000</f>
        <v>1538370.4300000002</v>
      </c>
      <c r="W35" s="43">
        <f>3500000-1000000</f>
        <v>2500000</v>
      </c>
      <c r="X35" s="76">
        <f t="shared" si="11"/>
        <v>23000000</v>
      </c>
      <c r="Y35" s="77">
        <f t="shared" si="6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9"/>
        <v>1466600</v>
      </c>
      <c r="E36" s="30"/>
      <c r="F36" s="32">
        <f t="shared" si="10"/>
        <v>1466600</v>
      </c>
      <c r="G36" s="32">
        <f>1281600+185000</f>
        <v>1466600</v>
      </c>
      <c r="H36" s="25">
        <f>80000+35000</f>
        <v>115000</v>
      </c>
      <c r="I36" s="46">
        <f t="shared" si="12"/>
        <v>7.8412655120687305</v>
      </c>
      <c r="J36" s="69">
        <f t="shared" si="7"/>
        <v>8.835279655808236</v>
      </c>
      <c r="K36" s="52">
        <f t="shared" si="8"/>
        <v>1186600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6">
        <f t="shared" si="11"/>
        <v>1466600</v>
      </c>
      <c r="Y36" s="77">
        <f t="shared" si="6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9"/>
        <v>49273597</v>
      </c>
      <c r="E37" s="30"/>
      <c r="F37" s="32">
        <f t="shared" si="10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</f>
        <v>32734625.770000003</v>
      </c>
      <c r="I37" s="46">
        <f t="shared" si="12"/>
        <v>66.43441470286817</v>
      </c>
      <c r="J37" s="69">
        <f t="shared" si="7"/>
        <v>92.60138254440449</v>
      </c>
      <c r="K37" s="52">
        <f t="shared" si="8"/>
        <v>7503971.229999997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1177427-58660+16000000-2535000</f>
        <v>14583767</v>
      </c>
      <c r="T37" s="43">
        <f>1073488.25-1073488.25+4888557</f>
        <v>4888557</v>
      </c>
      <c r="U37" s="43">
        <f>701511.75-701511.75+2500000</f>
        <v>2500000</v>
      </c>
      <c r="V37" s="43">
        <f>130000-130000+1000000+1535000</f>
        <v>2535000</v>
      </c>
      <c r="W37" s="43">
        <f>3000000+1000000</f>
        <v>4000000</v>
      </c>
      <c r="X37" s="76">
        <f t="shared" si="11"/>
        <v>49273597</v>
      </c>
      <c r="Y37" s="77">
        <f t="shared" si="6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9"/>
        <v>5000000</v>
      </c>
      <c r="E38" s="30"/>
      <c r="F38" s="32">
        <f t="shared" si="10"/>
        <v>5000000</v>
      </c>
      <c r="G38" s="32">
        <v>5000000</v>
      </c>
      <c r="H38" s="25">
        <f>108000+2394100+780000+290000</f>
        <v>3572100</v>
      </c>
      <c r="I38" s="46">
        <f t="shared" si="12"/>
        <v>71.44200000000001</v>
      </c>
      <c r="J38" s="69">
        <f t="shared" si="7"/>
        <v>79.38</v>
      </c>
      <c r="K38" s="52">
        <f t="shared" si="8"/>
        <v>261900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>
        <v>-666000</v>
      </c>
      <c r="U38" s="43">
        <v>666000</v>
      </c>
      <c r="V38" s="43"/>
      <c r="W38" s="43">
        <f>500000</f>
        <v>500000</v>
      </c>
      <c r="X38" s="76">
        <f t="shared" si="11"/>
        <v>5000000</v>
      </c>
      <c r="Y38" s="77">
        <f t="shared" si="6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9"/>
        <v>6380000</v>
      </c>
      <c r="E39" s="30"/>
      <c r="F39" s="32">
        <f t="shared" si="10"/>
        <v>6380000</v>
      </c>
      <c r="G39" s="32">
        <f>5000000+1380000</f>
        <v>6380000</v>
      </c>
      <c r="H39" s="25">
        <f>173000+900000+31000+900000+32000+1100000+32000+500000+21466.9+43601.11+16760.29+377319.01+6388</f>
        <v>4133535.3099999996</v>
      </c>
      <c r="I39" s="46">
        <f t="shared" si="12"/>
        <v>64.78895470219435</v>
      </c>
      <c r="J39" s="69">
        <f t="shared" si="7"/>
        <v>68.89225516666666</v>
      </c>
      <c r="K39" s="52">
        <f t="shared" si="8"/>
        <v>2246464.6900000004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6">
        <f t="shared" si="11"/>
        <v>6380000</v>
      </c>
      <c r="Y39" s="77">
        <f t="shared" si="6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9"/>
        <v>1391000</v>
      </c>
      <c r="E40" s="30"/>
      <c r="F40" s="32">
        <f t="shared" si="10"/>
        <v>1391000</v>
      </c>
      <c r="G40" s="32">
        <f>1500000-109000</f>
        <v>1391000</v>
      </c>
      <c r="H40" s="25">
        <f>57000+1000000+328207.88</f>
        <v>1385207.88</v>
      </c>
      <c r="I40" s="46">
        <f t="shared" si="12"/>
        <v>99.5836002875629</v>
      </c>
      <c r="J40" s="69">
        <f t="shared" si="7"/>
        <v>99.5836002875629</v>
      </c>
      <c r="K40" s="52">
        <f t="shared" si="8"/>
        <v>5792.120000000112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6">
        <f t="shared" si="11"/>
        <v>1391000</v>
      </c>
      <c r="Y40" s="77">
        <f t="shared" si="6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9"/>
        <v>1600000</v>
      </c>
      <c r="E41" s="30"/>
      <c r="F41" s="32">
        <f t="shared" si="10"/>
        <v>1600000</v>
      </c>
      <c r="G41" s="32">
        <f>1750000-150000</f>
        <v>1600000</v>
      </c>
      <c r="H41" s="25">
        <f>38000+1037000+39019.23</f>
        <v>1114019.23</v>
      </c>
      <c r="I41" s="46">
        <f t="shared" si="12"/>
        <v>69.62620187499999</v>
      </c>
      <c r="J41" s="69">
        <f t="shared" si="7"/>
        <v>69.62620187499999</v>
      </c>
      <c r="K41" s="52">
        <f t="shared" si="8"/>
        <v>485980.77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6">
        <f t="shared" si="11"/>
        <v>1600000</v>
      </c>
      <c r="Y41" s="77">
        <f t="shared" si="6"/>
        <v>0</v>
      </c>
    </row>
    <row r="42" spans="1:25" s="4" customFormat="1" ht="18">
      <c r="A42" s="1"/>
      <c r="B42" s="5"/>
      <c r="C42" s="54" t="s">
        <v>109</v>
      </c>
      <c r="D42" s="32">
        <f t="shared" si="9"/>
        <v>89760</v>
      </c>
      <c r="E42" s="30"/>
      <c r="F42" s="32">
        <f t="shared" si="10"/>
        <v>89760</v>
      </c>
      <c r="G42" s="32">
        <v>89760</v>
      </c>
      <c r="H42" s="25"/>
      <c r="I42" s="46"/>
      <c r="J42" s="69"/>
      <c r="K42" s="52">
        <f t="shared" si="8"/>
        <v>89760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6">
        <f t="shared" si="11"/>
        <v>89760</v>
      </c>
      <c r="Y42" s="77">
        <f t="shared" si="6"/>
        <v>0</v>
      </c>
    </row>
    <row r="43" spans="1:25" s="4" customFormat="1" ht="24" customHeight="1">
      <c r="A43" s="1"/>
      <c r="B43" s="5"/>
      <c r="C43" s="78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9">
        <f t="shared" si="7"/>
        <v>68.85703285714285</v>
      </c>
      <c r="K43" s="52">
        <f t="shared" si="8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6">
        <f t="shared" si="11"/>
        <v>7700000</v>
      </c>
      <c r="Y43" s="77">
        <f t="shared" si="6"/>
        <v>0</v>
      </c>
    </row>
    <row r="44" spans="1:25" s="4" customFormat="1" ht="22.5" customHeight="1">
      <c r="A44" s="1"/>
      <c r="B44" s="5"/>
      <c r="C44" s="78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</f>
        <v>117533</v>
      </c>
      <c r="I44" s="46">
        <f>H44/D44*100</f>
        <v>80.63737093067134</v>
      </c>
      <c r="J44" s="69">
        <f t="shared" si="7"/>
        <v>100</v>
      </c>
      <c r="K44" s="52">
        <f t="shared" si="8"/>
        <v>1.25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6">
        <f>SUM(L44:W44)</f>
        <v>145755</v>
      </c>
      <c r="Y44" s="77">
        <f t="shared" si="6"/>
        <v>0</v>
      </c>
    </row>
    <row r="45" spans="1:25" s="4" customFormat="1" ht="22.5" customHeight="1">
      <c r="A45" s="1"/>
      <c r="B45" s="79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9">
        <f t="shared" si="7"/>
        <v>100.00000000000016</v>
      </c>
      <c r="K45" s="52">
        <f t="shared" si="8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6">
        <f t="shared" si="11"/>
        <v>256188.79999999958</v>
      </c>
      <c r="Y45" s="77">
        <f t="shared" si="6"/>
        <v>2.3283064365386963E-10</v>
      </c>
    </row>
    <row r="46" spans="1:25" s="16" customFormat="1" ht="24" customHeight="1">
      <c r="A46" s="88" t="s">
        <v>29</v>
      </c>
      <c r="B46" s="89"/>
      <c r="C46" s="89"/>
      <c r="D46" s="89"/>
      <c r="E46" s="89"/>
      <c r="F46" s="89"/>
      <c r="G46" s="89"/>
      <c r="H46" s="89"/>
      <c r="I46" s="89"/>
      <c r="J46" s="70"/>
      <c r="K46" s="52"/>
      <c r="X46" s="66"/>
      <c r="Y46" s="71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44245726.39</v>
      </c>
      <c r="I47" s="65">
        <f>H47/D47*100</f>
        <v>46.35472247003761</v>
      </c>
      <c r="J47" s="70"/>
      <c r="K47" s="52"/>
      <c r="X47" s="66"/>
      <c r="Y47" s="71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44245726.39</v>
      </c>
      <c r="I48" s="48">
        <f>H48/D48*100</f>
        <v>46.35472247003761</v>
      </c>
      <c r="J48" s="70">
        <f t="shared" si="7"/>
        <v>77.9883809436257</v>
      </c>
      <c r="K48" s="52">
        <f t="shared" si="8"/>
        <v>22082297.65</v>
      </c>
      <c r="L48" s="61">
        <f>SUM(L49:L100)</f>
        <v>0</v>
      </c>
      <c r="M48" s="61">
        <f aca="true" t="shared" si="13" ref="M48:X48">SUM(M49:M100)</f>
        <v>2416000</v>
      </c>
      <c r="N48" s="61">
        <f>SUM(N49:N100)</f>
        <v>3584000</v>
      </c>
      <c r="O48" s="61">
        <f t="shared" si="13"/>
        <v>640500</v>
      </c>
      <c r="P48" s="61">
        <f t="shared" si="13"/>
        <v>6993995.17</v>
      </c>
      <c r="Q48" s="61">
        <f t="shared" si="13"/>
        <v>14129230</v>
      </c>
      <c r="R48" s="61">
        <f t="shared" si="13"/>
        <v>10444146</v>
      </c>
      <c r="S48" s="61">
        <f t="shared" si="13"/>
        <v>18525870.259999998</v>
      </c>
      <c r="T48" s="61">
        <f t="shared" si="13"/>
        <v>9594282.61</v>
      </c>
      <c r="U48" s="61">
        <f t="shared" si="13"/>
        <v>16160445.11</v>
      </c>
      <c r="V48" s="61">
        <f t="shared" si="13"/>
        <v>9932725.219999999</v>
      </c>
      <c r="W48" s="61">
        <f>SUM(W49:W100)</f>
        <v>3029115.83</v>
      </c>
      <c r="X48" s="61">
        <f t="shared" si="13"/>
        <v>95450310.2</v>
      </c>
      <c r="Y48" s="71">
        <f>D48-X48</f>
        <v>0</v>
      </c>
    </row>
    <row r="49" spans="1:25" s="80" customFormat="1" ht="40.5" customHeight="1">
      <c r="A49" s="1"/>
      <c r="B49" s="29"/>
      <c r="C49" s="31" t="s">
        <v>31</v>
      </c>
      <c r="D49" s="32">
        <f aca="true" t="shared" si="14" ref="D49:D89">F49</f>
        <v>768000</v>
      </c>
      <c r="E49" s="30"/>
      <c r="F49" s="25">
        <f aca="true" t="shared" si="15" ref="F49:F100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9">
        <f t="shared" si="7"/>
        <v>126.09643482890722</v>
      </c>
      <c r="K49" s="52">
        <f t="shared" si="8"/>
        <v>-129812.37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4173</v>
      </c>
      <c r="T49" s="59"/>
      <c r="U49" s="59"/>
      <c r="V49" s="59"/>
      <c r="W49" s="59">
        <f>360739.65-86000-4173</f>
        <v>270566.65</v>
      </c>
      <c r="X49" s="59">
        <f>SUM(L49:W49)</f>
        <v>768000</v>
      </c>
      <c r="Y49" s="71">
        <f aca="true" t="shared" si="16" ref="Y49:Y103">D49-X49</f>
        <v>0</v>
      </c>
    </row>
    <row r="50" spans="1:25" s="80" customFormat="1" ht="23.25" customHeight="1">
      <c r="A50" s="1"/>
      <c r="B50" s="29"/>
      <c r="C50" s="56" t="s">
        <v>66</v>
      </c>
      <c r="D50" s="32">
        <f t="shared" si="14"/>
        <v>64000</v>
      </c>
      <c r="E50" s="30"/>
      <c r="F50" s="25">
        <f t="shared" si="15"/>
        <v>64000</v>
      </c>
      <c r="G50" s="32">
        <f>164000-100000</f>
        <v>64000</v>
      </c>
      <c r="H50" s="25"/>
      <c r="I50" s="46"/>
      <c r="J50" s="69">
        <f t="shared" si="7"/>
        <v>0</v>
      </c>
      <c r="K50" s="52">
        <f t="shared" si="8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7" ref="X50:X100">SUM(L50:W50)</f>
        <v>64000</v>
      </c>
      <c r="Y50" s="71">
        <f t="shared" si="16"/>
        <v>0</v>
      </c>
    </row>
    <row r="51" spans="1:25" s="80" customFormat="1" ht="26.25" customHeight="1">
      <c r="A51" s="1"/>
      <c r="B51" s="29"/>
      <c r="C51" s="56" t="s">
        <v>67</v>
      </c>
      <c r="D51" s="32">
        <f t="shared" si="14"/>
        <v>109800</v>
      </c>
      <c r="E51" s="30"/>
      <c r="F51" s="25">
        <f t="shared" si="15"/>
        <v>109800</v>
      </c>
      <c r="G51" s="32">
        <v>109800</v>
      </c>
      <c r="H51" s="25"/>
      <c r="I51" s="46"/>
      <c r="J51" s="69"/>
      <c r="K51" s="52">
        <f t="shared" si="8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7"/>
        <v>109800</v>
      </c>
      <c r="Y51" s="71">
        <f t="shared" si="16"/>
        <v>0</v>
      </c>
    </row>
    <row r="52" spans="1:25" s="80" customFormat="1" ht="40.5" customHeight="1">
      <c r="A52" s="1"/>
      <c r="B52" s="29"/>
      <c r="C52" s="56" t="s">
        <v>68</v>
      </c>
      <c r="D52" s="32">
        <f t="shared" si="14"/>
        <v>25280</v>
      </c>
      <c r="E52" s="30"/>
      <c r="F52" s="25">
        <f t="shared" si="15"/>
        <v>25280</v>
      </c>
      <c r="G52" s="32">
        <v>25280</v>
      </c>
      <c r="H52" s="25"/>
      <c r="I52" s="46"/>
      <c r="J52" s="69">
        <f t="shared" si="7"/>
        <v>0</v>
      </c>
      <c r="K52" s="52">
        <f t="shared" si="8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7"/>
        <v>25280</v>
      </c>
      <c r="Y52" s="71">
        <f t="shared" si="16"/>
        <v>0</v>
      </c>
    </row>
    <row r="53" spans="1:25" s="80" customFormat="1" ht="24.75" customHeight="1">
      <c r="A53" s="1"/>
      <c r="B53" s="29"/>
      <c r="C53" s="56" t="s">
        <v>69</v>
      </c>
      <c r="D53" s="32">
        <f t="shared" si="14"/>
        <v>600000</v>
      </c>
      <c r="E53" s="30"/>
      <c r="F53" s="25">
        <f t="shared" si="15"/>
        <v>600000</v>
      </c>
      <c r="G53" s="32">
        <v>600000</v>
      </c>
      <c r="H53" s="25"/>
      <c r="I53" s="46"/>
      <c r="J53" s="69">
        <f t="shared" si="7"/>
        <v>0</v>
      </c>
      <c r="K53" s="52">
        <f t="shared" si="8"/>
        <v>570000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570000</v>
      </c>
      <c r="T53" s="60"/>
      <c r="U53" s="60"/>
      <c r="V53" s="60"/>
      <c r="W53" s="60">
        <f>30000</f>
        <v>30000</v>
      </c>
      <c r="X53" s="59">
        <f t="shared" si="17"/>
        <v>600000</v>
      </c>
      <c r="Y53" s="71">
        <f t="shared" si="16"/>
        <v>0</v>
      </c>
    </row>
    <row r="54" spans="1:25" s="80" customFormat="1" ht="24.75" customHeight="1">
      <c r="A54" s="1"/>
      <c r="B54" s="29"/>
      <c r="C54" s="56" t="s">
        <v>70</v>
      </c>
      <c r="D54" s="32">
        <f t="shared" si="14"/>
        <v>1100000</v>
      </c>
      <c r="E54" s="30"/>
      <c r="F54" s="25">
        <f t="shared" si="15"/>
        <v>1100000</v>
      </c>
      <c r="G54" s="32">
        <f>850000+250000</f>
        <v>1100000</v>
      </c>
      <c r="H54" s="25">
        <f>386615.55+36306</f>
        <v>422921.55</v>
      </c>
      <c r="I54" s="46">
        <f>H54/D54*100</f>
        <v>38.447413636363635</v>
      </c>
      <c r="J54" s="69">
        <f t="shared" si="7"/>
        <v>45.61752376968236</v>
      </c>
      <c r="K54" s="52">
        <f t="shared" si="8"/>
        <v>519184.56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7"/>
        <v>1100000</v>
      </c>
      <c r="Y54" s="71">
        <f t="shared" si="16"/>
        <v>0</v>
      </c>
    </row>
    <row r="55" spans="1:25" s="80" customFormat="1" ht="22.5" customHeight="1">
      <c r="A55" s="1"/>
      <c r="B55" s="29"/>
      <c r="C55" s="56" t="s">
        <v>71</v>
      </c>
      <c r="D55" s="32">
        <f t="shared" si="14"/>
        <v>750000</v>
      </c>
      <c r="E55" s="30"/>
      <c r="F55" s="25">
        <f t="shared" si="15"/>
        <v>750000</v>
      </c>
      <c r="G55" s="32">
        <v>750000</v>
      </c>
      <c r="H55" s="25"/>
      <c r="I55" s="46"/>
      <c r="J55" s="69"/>
      <c r="K55" s="52">
        <f t="shared" si="8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7"/>
        <v>750000</v>
      </c>
      <c r="Y55" s="71">
        <f t="shared" si="16"/>
        <v>0</v>
      </c>
    </row>
    <row r="56" spans="1:25" s="80" customFormat="1" ht="40.5" customHeight="1">
      <c r="A56" s="1"/>
      <c r="B56" s="29"/>
      <c r="C56" s="56" t="s">
        <v>108</v>
      </c>
      <c r="D56" s="32">
        <f t="shared" si="14"/>
        <v>1180000</v>
      </c>
      <c r="E56" s="30"/>
      <c r="F56" s="25">
        <f t="shared" si="15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9">
        <f t="shared" si="7"/>
        <v>98.95684237288135</v>
      </c>
      <c r="K56" s="52">
        <f t="shared" si="8"/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7"/>
        <v>1180000</v>
      </c>
      <c r="Y56" s="71">
        <f t="shared" si="16"/>
        <v>0</v>
      </c>
    </row>
    <row r="57" spans="1:25" s="80" customFormat="1" ht="40.5" customHeight="1" hidden="1">
      <c r="A57" s="1"/>
      <c r="B57" s="29"/>
      <c r="C57" s="56" t="s">
        <v>72</v>
      </c>
      <c r="D57" s="32">
        <f t="shared" si="14"/>
        <v>0</v>
      </c>
      <c r="E57" s="30"/>
      <c r="F57" s="25">
        <f t="shared" si="15"/>
        <v>0</v>
      </c>
      <c r="G57" s="32">
        <f>550000-550000</f>
        <v>0</v>
      </c>
      <c r="H57" s="25"/>
      <c r="I57" s="46" t="e">
        <f>H57/D57*100</f>
        <v>#DIV/0!</v>
      </c>
      <c r="J57" s="69" t="e">
        <f t="shared" si="7"/>
        <v>#DIV/0!</v>
      </c>
      <c r="K57" s="52">
        <f t="shared" si="8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7"/>
        <v>0</v>
      </c>
      <c r="Y57" s="71">
        <f t="shared" si="16"/>
        <v>0</v>
      </c>
    </row>
    <row r="58" spans="1:25" s="80" customFormat="1" ht="40.5" customHeight="1">
      <c r="A58" s="1"/>
      <c r="B58" s="29"/>
      <c r="C58" s="56" t="s">
        <v>73</v>
      </c>
      <c r="D58" s="32">
        <f t="shared" si="14"/>
        <v>120000</v>
      </c>
      <c r="E58" s="30"/>
      <c r="F58" s="25">
        <f t="shared" si="15"/>
        <v>120000</v>
      </c>
      <c r="G58" s="32">
        <v>120000</v>
      </c>
      <c r="H58" s="25"/>
      <c r="I58" s="46"/>
      <c r="J58" s="69"/>
      <c r="K58" s="52">
        <f t="shared" si="8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7"/>
        <v>120000</v>
      </c>
      <c r="Y58" s="71">
        <f t="shared" si="16"/>
        <v>0</v>
      </c>
    </row>
    <row r="59" spans="1:25" s="80" customFormat="1" ht="24.75" customHeight="1">
      <c r="A59" s="1"/>
      <c r="B59" s="29"/>
      <c r="C59" s="56" t="s">
        <v>74</v>
      </c>
      <c r="D59" s="32">
        <f t="shared" si="14"/>
        <v>128800</v>
      </c>
      <c r="E59" s="30"/>
      <c r="F59" s="25">
        <f t="shared" si="15"/>
        <v>128800</v>
      </c>
      <c r="G59" s="32">
        <v>128800</v>
      </c>
      <c r="H59" s="25"/>
      <c r="I59" s="46"/>
      <c r="J59" s="69">
        <f t="shared" si="7"/>
        <v>0</v>
      </c>
      <c r="K59" s="52">
        <f t="shared" si="8"/>
        <v>128800</v>
      </c>
      <c r="L59" s="59"/>
      <c r="M59" s="59"/>
      <c r="N59" s="59"/>
      <c r="O59" s="59"/>
      <c r="P59" s="59"/>
      <c r="Q59" s="59"/>
      <c r="R59" s="59"/>
      <c r="S59" s="59">
        <v>64400</v>
      </c>
      <c r="T59" s="59">
        <v>64400</v>
      </c>
      <c r="U59" s="59"/>
      <c r="V59" s="59"/>
      <c r="W59" s="59"/>
      <c r="X59" s="59">
        <f t="shared" si="17"/>
        <v>128800</v>
      </c>
      <c r="Y59" s="71">
        <f t="shared" si="16"/>
        <v>0</v>
      </c>
    </row>
    <row r="60" spans="1:25" s="80" customFormat="1" ht="23.25" customHeight="1">
      <c r="A60" s="1"/>
      <c r="B60" s="29"/>
      <c r="C60" s="56" t="s">
        <v>75</v>
      </c>
      <c r="D60" s="32">
        <f t="shared" si="14"/>
        <v>5000</v>
      </c>
      <c r="E60" s="30"/>
      <c r="F60" s="25">
        <f t="shared" si="15"/>
        <v>5000</v>
      </c>
      <c r="G60" s="32">
        <v>5000</v>
      </c>
      <c r="H60" s="25"/>
      <c r="I60" s="46"/>
      <c r="J60" s="69">
        <f t="shared" si="7"/>
        <v>0</v>
      </c>
      <c r="K60" s="52">
        <f t="shared" si="8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7"/>
        <v>5000</v>
      </c>
      <c r="Y60" s="71">
        <f t="shared" si="16"/>
        <v>0</v>
      </c>
    </row>
    <row r="61" spans="1:25" s="80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9">
        <f t="shared" si="7"/>
        <v>30</v>
      </c>
      <c r="K61" s="52">
        <f t="shared" si="8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7"/>
        <v>500000</v>
      </c>
      <c r="Y61" s="71">
        <f t="shared" si="16"/>
        <v>0</v>
      </c>
    </row>
    <row r="62" spans="1:25" s="80" customFormat="1" ht="23.25" customHeight="1">
      <c r="A62" s="1"/>
      <c r="B62" s="29"/>
      <c r="C62" s="81" t="s">
        <v>117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9">
        <f t="shared" si="7"/>
        <v>0</v>
      </c>
      <c r="K62" s="52">
        <f t="shared" si="8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7"/>
        <v>200000</v>
      </c>
      <c r="Y62" s="71">
        <f t="shared" si="16"/>
        <v>0</v>
      </c>
    </row>
    <row r="63" spans="1:25" s="80" customFormat="1" ht="24.75" customHeight="1">
      <c r="A63" s="1"/>
      <c r="B63" s="29"/>
      <c r="C63" s="55" t="s">
        <v>76</v>
      </c>
      <c r="D63" s="32">
        <f t="shared" si="14"/>
        <v>120000</v>
      </c>
      <c r="E63" s="30"/>
      <c r="F63" s="25">
        <f t="shared" si="15"/>
        <v>120000</v>
      </c>
      <c r="G63" s="32">
        <v>120000</v>
      </c>
      <c r="H63" s="25"/>
      <c r="I63" s="46"/>
      <c r="J63" s="69"/>
      <c r="K63" s="52">
        <f t="shared" si="8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7"/>
        <v>120000</v>
      </c>
      <c r="Y63" s="71">
        <f t="shared" si="16"/>
        <v>0</v>
      </c>
    </row>
    <row r="64" spans="1:25" s="80" customFormat="1" ht="39.75" customHeight="1">
      <c r="A64" s="1"/>
      <c r="B64" s="29"/>
      <c r="C64" s="56" t="s">
        <v>77</v>
      </c>
      <c r="D64" s="32">
        <f t="shared" si="14"/>
        <v>500</v>
      </c>
      <c r="E64" s="30"/>
      <c r="F64" s="25">
        <f t="shared" si="15"/>
        <v>500</v>
      </c>
      <c r="G64" s="32">
        <v>500</v>
      </c>
      <c r="H64" s="25"/>
      <c r="I64" s="46"/>
      <c r="J64" s="69">
        <f t="shared" si="7"/>
        <v>0</v>
      </c>
      <c r="K64" s="52">
        <f t="shared" si="8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7"/>
        <v>500</v>
      </c>
      <c r="Y64" s="71">
        <f t="shared" si="16"/>
        <v>0</v>
      </c>
    </row>
    <row r="65" spans="1:25" s="80" customFormat="1" ht="24.75" customHeight="1">
      <c r="A65" s="1"/>
      <c r="B65" s="29"/>
      <c r="C65" s="55" t="s">
        <v>78</v>
      </c>
      <c r="D65" s="32">
        <f t="shared" si="14"/>
        <v>50000</v>
      </c>
      <c r="E65" s="30"/>
      <c r="F65" s="25">
        <f t="shared" si="15"/>
        <v>50000</v>
      </c>
      <c r="G65" s="32">
        <v>50000</v>
      </c>
      <c r="H65" s="25"/>
      <c r="I65" s="46"/>
      <c r="J65" s="69">
        <f t="shared" si="7"/>
        <v>0</v>
      </c>
      <c r="K65" s="52">
        <f t="shared" si="8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7"/>
        <v>50000</v>
      </c>
      <c r="Y65" s="71">
        <f t="shared" si="16"/>
        <v>0</v>
      </c>
    </row>
    <row r="66" spans="1:25" s="80" customFormat="1" ht="24.75" customHeight="1">
      <c r="A66" s="1"/>
      <c r="B66" s="29"/>
      <c r="C66" s="31" t="s">
        <v>104</v>
      </c>
      <c r="D66" s="32">
        <f t="shared" si="14"/>
        <v>25000</v>
      </c>
      <c r="E66" s="30"/>
      <c r="F66" s="25">
        <f t="shared" si="15"/>
        <v>25000</v>
      </c>
      <c r="G66" s="32">
        <v>25000</v>
      </c>
      <c r="H66" s="25"/>
      <c r="I66" s="46"/>
      <c r="J66" s="69">
        <f t="shared" si="7"/>
        <v>0</v>
      </c>
      <c r="K66" s="52">
        <f t="shared" si="8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7"/>
        <v>25000</v>
      </c>
      <c r="Y66" s="71">
        <f t="shared" si="16"/>
        <v>0</v>
      </c>
    </row>
    <row r="67" spans="1:25" s="80" customFormat="1" ht="24.75" customHeight="1">
      <c r="A67" s="1"/>
      <c r="B67" s="29"/>
      <c r="C67" s="55" t="s">
        <v>79</v>
      </c>
      <c r="D67" s="32">
        <f t="shared" si="14"/>
        <v>200000</v>
      </c>
      <c r="E67" s="30"/>
      <c r="F67" s="25">
        <f t="shared" si="15"/>
        <v>200000</v>
      </c>
      <c r="G67" s="32">
        <v>200000</v>
      </c>
      <c r="H67" s="25">
        <f>60000</f>
        <v>60000</v>
      </c>
      <c r="I67" s="46">
        <f>H67/D67*100</f>
        <v>30</v>
      </c>
      <c r="J67" s="69">
        <f t="shared" si="7"/>
        <v>30</v>
      </c>
      <c r="K67" s="52">
        <f t="shared" si="8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7"/>
        <v>200000</v>
      </c>
      <c r="Y67" s="71">
        <f t="shared" si="16"/>
        <v>0</v>
      </c>
    </row>
    <row r="68" spans="1:25" s="80" customFormat="1" ht="24.75" customHeight="1">
      <c r="A68" s="1"/>
      <c r="B68" s="29"/>
      <c r="C68" s="55" t="s">
        <v>80</v>
      </c>
      <c r="D68" s="32">
        <f t="shared" si="14"/>
        <v>200000</v>
      </c>
      <c r="E68" s="30"/>
      <c r="F68" s="25">
        <f t="shared" si="15"/>
        <v>200000</v>
      </c>
      <c r="G68" s="32">
        <v>200000</v>
      </c>
      <c r="H68" s="25"/>
      <c r="I68" s="46"/>
      <c r="J68" s="69">
        <f t="shared" si="7"/>
        <v>0</v>
      </c>
      <c r="K68" s="52">
        <f t="shared" si="8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7"/>
        <v>200000</v>
      </c>
      <c r="Y68" s="71">
        <f t="shared" si="16"/>
        <v>0</v>
      </c>
    </row>
    <row r="69" spans="1:25" s="80" customFormat="1" ht="24.75" customHeight="1">
      <c r="A69" s="1"/>
      <c r="B69" s="29"/>
      <c r="C69" s="55" t="s">
        <v>81</v>
      </c>
      <c r="D69" s="32">
        <f t="shared" si="14"/>
        <v>5300000</v>
      </c>
      <c r="E69" s="30"/>
      <c r="F69" s="25">
        <f t="shared" si="15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9">
        <f t="shared" si="7"/>
        <v>100</v>
      </c>
      <c r="K69" s="52">
        <f t="shared" si="8"/>
        <v>2800000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7"/>
        <v>5300000</v>
      </c>
      <c r="Y69" s="71">
        <f t="shared" si="16"/>
        <v>0</v>
      </c>
    </row>
    <row r="70" spans="1:25" s="80" customFormat="1" ht="24.75" customHeight="1">
      <c r="A70" s="1"/>
      <c r="B70" s="29"/>
      <c r="C70" s="57" t="s">
        <v>82</v>
      </c>
      <c r="D70" s="32">
        <f t="shared" si="14"/>
        <v>350000</v>
      </c>
      <c r="E70" s="30"/>
      <c r="F70" s="25">
        <f t="shared" si="15"/>
        <v>350000</v>
      </c>
      <c r="G70" s="32">
        <v>350000</v>
      </c>
      <c r="H70" s="25">
        <f>105000</f>
        <v>105000</v>
      </c>
      <c r="I70" s="46">
        <f>H70/D70*100</f>
        <v>30</v>
      </c>
      <c r="J70" s="69">
        <f t="shared" si="7"/>
        <v>30</v>
      </c>
      <c r="K70" s="52">
        <f t="shared" si="8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7"/>
        <v>350000</v>
      </c>
      <c r="Y70" s="71">
        <f t="shared" si="16"/>
        <v>0</v>
      </c>
    </row>
    <row r="71" spans="1:25" s="80" customFormat="1" ht="24.75" customHeight="1">
      <c r="A71" s="1"/>
      <c r="B71" s="29"/>
      <c r="C71" s="56" t="s">
        <v>83</v>
      </c>
      <c r="D71" s="32">
        <f t="shared" si="14"/>
        <v>200000</v>
      </c>
      <c r="E71" s="30"/>
      <c r="F71" s="25">
        <f t="shared" si="15"/>
        <v>200000</v>
      </c>
      <c r="G71" s="32">
        <v>200000</v>
      </c>
      <c r="H71" s="25">
        <f>60000</f>
        <v>60000</v>
      </c>
      <c r="I71" s="46">
        <f>H71/D71*100</f>
        <v>30</v>
      </c>
      <c r="J71" s="69">
        <f t="shared" si="7"/>
        <v>53.587217662346944</v>
      </c>
      <c r="K71" s="52">
        <f t="shared" si="8"/>
        <v>91967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7"/>
        <v>200000</v>
      </c>
      <c r="Y71" s="71">
        <f t="shared" si="16"/>
        <v>0</v>
      </c>
    </row>
    <row r="72" spans="1:25" s="80" customFormat="1" ht="24.75" customHeight="1">
      <c r="A72" s="1"/>
      <c r="B72" s="29"/>
      <c r="C72" s="58" t="s">
        <v>84</v>
      </c>
      <c r="D72" s="32">
        <f t="shared" si="14"/>
        <v>250000</v>
      </c>
      <c r="E72" s="30"/>
      <c r="F72" s="25">
        <f t="shared" si="15"/>
        <v>250000</v>
      </c>
      <c r="G72" s="32">
        <v>250000</v>
      </c>
      <c r="H72" s="25"/>
      <c r="I72" s="46"/>
      <c r="J72" s="69"/>
      <c r="K72" s="52">
        <f t="shared" si="8"/>
        <v>125000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7"/>
        <v>250000</v>
      </c>
      <c r="Y72" s="71">
        <f t="shared" si="16"/>
        <v>0</v>
      </c>
    </row>
    <row r="73" spans="1:25" s="80" customFormat="1" ht="24.75" customHeight="1">
      <c r="A73" s="1"/>
      <c r="B73" s="29"/>
      <c r="C73" s="56" t="s">
        <v>85</v>
      </c>
      <c r="D73" s="32">
        <f t="shared" si="14"/>
        <v>260000</v>
      </c>
      <c r="E73" s="30"/>
      <c r="F73" s="25">
        <f t="shared" si="15"/>
        <v>260000</v>
      </c>
      <c r="G73" s="32">
        <v>260000</v>
      </c>
      <c r="H73" s="25"/>
      <c r="I73" s="46"/>
      <c r="J73" s="69"/>
      <c r="K73" s="52">
        <f t="shared" si="8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7"/>
        <v>260000</v>
      </c>
      <c r="Y73" s="71">
        <f t="shared" si="16"/>
        <v>0</v>
      </c>
    </row>
    <row r="74" spans="1:25" s="80" customFormat="1" ht="24.75" customHeight="1">
      <c r="A74" s="1"/>
      <c r="B74" s="29"/>
      <c r="C74" s="56" t="s">
        <v>102</v>
      </c>
      <c r="D74" s="32">
        <f t="shared" si="14"/>
        <v>150000</v>
      </c>
      <c r="E74" s="30"/>
      <c r="F74" s="25">
        <f t="shared" si="15"/>
        <v>150000</v>
      </c>
      <c r="G74" s="32">
        <v>150000</v>
      </c>
      <c r="H74" s="25"/>
      <c r="I74" s="46"/>
      <c r="J74" s="69"/>
      <c r="K74" s="52">
        <f t="shared" si="8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7"/>
        <v>150000</v>
      </c>
      <c r="Y74" s="71">
        <f t="shared" si="16"/>
        <v>0</v>
      </c>
    </row>
    <row r="75" spans="1:25" s="80" customFormat="1" ht="24.75" customHeight="1">
      <c r="A75" s="1"/>
      <c r="B75" s="29"/>
      <c r="C75" s="56" t="s">
        <v>86</v>
      </c>
      <c r="D75" s="32">
        <f t="shared" si="14"/>
        <v>150000</v>
      </c>
      <c r="E75" s="30"/>
      <c r="F75" s="25">
        <f t="shared" si="15"/>
        <v>150000</v>
      </c>
      <c r="G75" s="32">
        <v>150000</v>
      </c>
      <c r="H75" s="25"/>
      <c r="I75" s="46"/>
      <c r="J75" s="69"/>
      <c r="K75" s="52">
        <f t="shared" si="8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7"/>
        <v>150000</v>
      </c>
      <c r="Y75" s="71">
        <f t="shared" si="16"/>
        <v>0</v>
      </c>
    </row>
    <row r="76" spans="1:25" s="80" customFormat="1" ht="24.75" customHeight="1">
      <c r="A76" s="1"/>
      <c r="B76" s="29"/>
      <c r="C76" s="55" t="s">
        <v>87</v>
      </c>
      <c r="D76" s="32">
        <f t="shared" si="14"/>
        <v>14500000</v>
      </c>
      <c r="E76" s="30"/>
      <c r="F76" s="25">
        <f t="shared" si="15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9">
        <f t="shared" si="7"/>
        <v>99.7185549165603</v>
      </c>
      <c r="K76" s="52">
        <f t="shared" si="8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7"/>
        <v>14500000</v>
      </c>
      <c r="Y76" s="71">
        <f t="shared" si="16"/>
        <v>0</v>
      </c>
    </row>
    <row r="77" spans="1:25" s="80" customFormat="1" ht="21.75" customHeight="1">
      <c r="A77" s="1"/>
      <c r="B77" s="29"/>
      <c r="C77" s="55" t="s">
        <v>88</v>
      </c>
      <c r="D77" s="32">
        <f t="shared" si="14"/>
        <v>3050000</v>
      </c>
      <c r="E77" s="30"/>
      <c r="F77" s="25">
        <f t="shared" si="15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9">
        <f t="shared" si="7"/>
        <v>76.18160385496205</v>
      </c>
      <c r="K77" s="52">
        <f t="shared" si="8"/>
        <v>883357.76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7"/>
        <v>3050000</v>
      </c>
      <c r="Y77" s="71">
        <f t="shared" si="16"/>
        <v>0</v>
      </c>
    </row>
    <row r="78" spans="1:25" s="80" customFormat="1" ht="18.75" customHeight="1">
      <c r="A78" s="1"/>
      <c r="B78" s="29"/>
      <c r="C78" s="55" t="s">
        <v>89</v>
      </c>
      <c r="D78" s="32">
        <f t="shared" si="14"/>
        <v>3926191</v>
      </c>
      <c r="E78" s="30"/>
      <c r="F78" s="25">
        <f t="shared" si="15"/>
        <v>3926191</v>
      </c>
      <c r="G78" s="32">
        <f>6648900-7000+1500000-5115600-88109+988000</f>
        <v>3926191</v>
      </c>
      <c r="H78" s="25">
        <f>1453283.2+635176.8+818106.4+14056.21+491000</f>
        <v>3411622.61</v>
      </c>
      <c r="I78" s="46">
        <f>H78/D78*100</f>
        <v>86.89395421669501</v>
      </c>
      <c r="J78" s="69">
        <f t="shared" si="7"/>
        <v>86.89395421669501</v>
      </c>
      <c r="K78" s="52">
        <f t="shared" si="8"/>
        <v>514568.39000000013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</f>
        <v>0</v>
      </c>
      <c r="U78" s="59">
        <f>1000000-1000000</f>
        <v>0</v>
      </c>
      <c r="V78" s="59">
        <f>1325950+1000000-1000000-550500-88109-687341</f>
        <v>0</v>
      </c>
      <c r="W78" s="59">
        <f>500000-500000</f>
        <v>0</v>
      </c>
      <c r="X78" s="59">
        <f t="shared" si="17"/>
        <v>3926191</v>
      </c>
      <c r="Y78" s="71">
        <f t="shared" si="16"/>
        <v>0</v>
      </c>
    </row>
    <row r="79" spans="1:25" s="80" customFormat="1" ht="18.75" customHeight="1">
      <c r="A79" s="1"/>
      <c r="B79" s="29"/>
      <c r="C79" s="31" t="s">
        <v>32</v>
      </c>
      <c r="D79" s="32">
        <f t="shared" si="14"/>
        <v>2519000</v>
      </c>
      <c r="E79" s="30"/>
      <c r="F79" s="25">
        <f t="shared" si="15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9">
        <f t="shared" si="7"/>
        <v>42.981714569273514</v>
      </c>
      <c r="K79" s="52">
        <f t="shared" si="8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7"/>
        <v>2519000</v>
      </c>
      <c r="Y79" s="71">
        <f t="shared" si="16"/>
        <v>0</v>
      </c>
    </row>
    <row r="80" spans="1:25" s="80" customFormat="1" ht="19.5" customHeight="1">
      <c r="A80" s="1"/>
      <c r="B80" s="29"/>
      <c r="C80" s="31" t="s">
        <v>33</v>
      </c>
      <c r="D80" s="32">
        <f t="shared" si="14"/>
        <v>4000000</v>
      </c>
      <c r="E80" s="30"/>
      <c r="F80" s="25">
        <f t="shared" si="15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9">
        <f t="shared" si="7"/>
        <v>5.931969523809523</v>
      </c>
      <c r="K80" s="52">
        <f t="shared" si="8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7"/>
        <v>4000000</v>
      </c>
      <c r="Y80" s="71">
        <f t="shared" si="16"/>
        <v>0</v>
      </c>
    </row>
    <row r="81" spans="1:25" s="80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9">
        <f t="shared" si="7"/>
        <v>0</v>
      </c>
      <c r="K81" s="52">
        <f t="shared" si="8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7"/>
        <v>100000</v>
      </c>
      <c r="Y81" s="71">
        <f t="shared" si="16"/>
        <v>0</v>
      </c>
    </row>
    <row r="82" spans="1:25" s="80" customFormat="1" ht="19.5" customHeight="1">
      <c r="A82" s="1"/>
      <c r="B82" s="29"/>
      <c r="C82" s="31" t="s">
        <v>115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9"/>
      <c r="K82" s="52">
        <f t="shared" si="8"/>
        <v>150000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7"/>
        <v>500000</v>
      </c>
      <c r="Y82" s="71">
        <f t="shared" si="16"/>
        <v>0</v>
      </c>
    </row>
    <row r="83" spans="1:25" s="80" customFormat="1" ht="19.5" customHeight="1">
      <c r="A83" s="1"/>
      <c r="B83" s="29"/>
      <c r="C83" s="31" t="s">
        <v>116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9"/>
      <c r="K83" s="52">
        <f t="shared" si="8"/>
        <v>740000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7"/>
        <v>1480000</v>
      </c>
      <c r="Y83" s="71">
        <f t="shared" si="16"/>
        <v>0</v>
      </c>
    </row>
    <row r="84" spans="1:25" s="80" customFormat="1" ht="40.5" customHeight="1">
      <c r="A84" s="1"/>
      <c r="B84" s="29"/>
      <c r="C84" s="55" t="s">
        <v>34</v>
      </c>
      <c r="D84" s="32">
        <f t="shared" si="14"/>
        <v>147000</v>
      </c>
      <c r="E84" s="30"/>
      <c r="F84" s="25">
        <f t="shared" si="15"/>
        <v>147000</v>
      </c>
      <c r="G84" s="32">
        <f>462000+385000-700000</f>
        <v>147000</v>
      </c>
      <c r="H84" s="25"/>
      <c r="I84" s="46"/>
      <c r="J84" s="69">
        <f t="shared" si="7"/>
        <v>0</v>
      </c>
      <c r="K84" s="52">
        <f t="shared" si="8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7"/>
        <v>147000</v>
      </c>
      <c r="Y84" s="71">
        <f t="shared" si="16"/>
        <v>0</v>
      </c>
    </row>
    <row r="85" spans="1:25" s="80" customFormat="1" ht="40.5" customHeight="1">
      <c r="A85" s="1"/>
      <c r="B85" s="29"/>
      <c r="C85" s="55" t="s">
        <v>90</v>
      </c>
      <c r="D85" s="32">
        <f t="shared" si="14"/>
        <v>11600000</v>
      </c>
      <c r="E85" s="30"/>
      <c r="F85" s="25">
        <f t="shared" si="15"/>
        <v>11600000</v>
      </c>
      <c r="G85" s="32">
        <f>3000000+8600000</f>
        <v>11600000</v>
      </c>
      <c r="H85" s="25">
        <f>1400000+4300000</f>
        <v>5700000</v>
      </c>
      <c r="I85" s="46">
        <f>H85/D85*100</f>
        <v>49.137931034482754</v>
      </c>
      <c r="J85" s="69">
        <f t="shared" si="7"/>
        <v>91.63987138263666</v>
      </c>
      <c r="K85" s="52">
        <f t="shared" si="8"/>
        <v>2520000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v>2000000</v>
      </c>
      <c r="U85" s="59">
        <f>1300000+1000000</f>
        <v>2300000</v>
      </c>
      <c r="V85" s="59">
        <v>1000000</v>
      </c>
      <c r="W85" s="59">
        <f>80000</f>
        <v>80000</v>
      </c>
      <c r="X85" s="59">
        <f t="shared" si="17"/>
        <v>11600000</v>
      </c>
      <c r="Y85" s="71">
        <f t="shared" si="16"/>
        <v>0</v>
      </c>
    </row>
    <row r="86" spans="1:25" s="80" customFormat="1" ht="40.5" customHeight="1">
      <c r="A86" s="1"/>
      <c r="B86" s="29"/>
      <c r="C86" s="31" t="s">
        <v>35</v>
      </c>
      <c r="D86" s="32">
        <f t="shared" si="14"/>
        <v>2188000</v>
      </c>
      <c r="E86" s="30"/>
      <c r="F86" s="25">
        <f t="shared" si="15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9">
        <f t="shared" si="7"/>
        <v>82.10184325215685</v>
      </c>
      <c r="K86" s="52">
        <f t="shared" si="8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7"/>
        <v>2188000</v>
      </c>
      <c r="Y86" s="71">
        <f t="shared" si="16"/>
        <v>0</v>
      </c>
    </row>
    <row r="87" spans="1:25" s="80" customFormat="1" ht="39.75" customHeight="1">
      <c r="A87" s="1"/>
      <c r="B87" s="29"/>
      <c r="C87" s="55" t="s">
        <v>36</v>
      </c>
      <c r="D87" s="32">
        <f t="shared" si="14"/>
        <v>254000</v>
      </c>
      <c r="E87" s="30"/>
      <c r="F87" s="25">
        <f t="shared" si="15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9">
        <f t="shared" si="7"/>
        <v>44.439665354330714</v>
      </c>
      <c r="K87" s="52">
        <f t="shared" si="8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7"/>
        <v>254000</v>
      </c>
      <c r="Y87" s="71">
        <f t="shared" si="16"/>
        <v>0</v>
      </c>
    </row>
    <row r="88" spans="1:25" s="80" customFormat="1" ht="39.75" customHeight="1">
      <c r="A88" s="1"/>
      <c r="B88" s="29"/>
      <c r="C88" s="55" t="s">
        <v>91</v>
      </c>
      <c r="D88" s="32">
        <f t="shared" si="14"/>
        <v>20000000</v>
      </c>
      <c r="E88" s="30"/>
      <c r="F88" s="25">
        <f t="shared" si="15"/>
        <v>20000000</v>
      </c>
      <c r="G88" s="32">
        <f>16000000+4000000</f>
        <v>20000000</v>
      </c>
      <c r="H88" s="25">
        <f>13429+7850000+306023.62+885285.6+1757858.8+137329.67+2000000+3430424.4+44980.76+1526696.4+20069.81+1128035.73+685593.6+10647.49</f>
        <v>19796374.88</v>
      </c>
      <c r="I88" s="46">
        <f>H88/D88*100</f>
        <v>98.9818744</v>
      </c>
      <c r="J88" s="69">
        <f t="shared" si="7"/>
        <v>103.1576980156745</v>
      </c>
      <c r="K88" s="52">
        <f t="shared" si="8"/>
        <v>-556589.1199999973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f>2000000+2000000+3402400+1600000+1100000</f>
        <v>10102400</v>
      </c>
      <c r="T88" s="60">
        <f>1731585.76-912200-170000+1000000-1600000</f>
        <v>49385.76000000001</v>
      </c>
      <c r="U88" s="60">
        <f>3000000-900000-2000000+2000000-2000000</f>
        <v>100000</v>
      </c>
      <c r="V88" s="60">
        <f>3741261.78+1000000-3402400-1100000</f>
        <v>238861.77999999933</v>
      </c>
      <c r="W88" s="60">
        <f>3421352.46-3000000</f>
        <v>421352.45999999996</v>
      </c>
      <c r="X88" s="59">
        <f t="shared" si="17"/>
        <v>20000000</v>
      </c>
      <c r="Y88" s="71">
        <f t="shared" si="16"/>
        <v>0</v>
      </c>
    </row>
    <row r="89" spans="1:25" s="80" customFormat="1" ht="22.5" customHeight="1">
      <c r="A89" s="1"/>
      <c r="B89" s="29"/>
      <c r="C89" s="31" t="s">
        <v>37</v>
      </c>
      <c r="D89" s="32">
        <f t="shared" si="14"/>
        <v>137000</v>
      </c>
      <c r="E89" s="30"/>
      <c r="F89" s="25">
        <f t="shared" si="15"/>
        <v>137000</v>
      </c>
      <c r="G89" s="32">
        <f>837000-700000</f>
        <v>137000</v>
      </c>
      <c r="H89" s="25"/>
      <c r="I89" s="46"/>
      <c r="J89" s="69">
        <f t="shared" si="7"/>
        <v>0</v>
      </c>
      <c r="K89" s="52">
        <f t="shared" si="8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7"/>
        <v>137000</v>
      </c>
      <c r="Y89" s="71">
        <f t="shared" si="16"/>
        <v>0</v>
      </c>
    </row>
    <row r="90" spans="1:25" s="80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5"/>
        <v>400000</v>
      </c>
      <c r="G90" s="32">
        <f>900000-500000</f>
        <v>400000</v>
      </c>
      <c r="H90" s="25"/>
      <c r="I90" s="46"/>
      <c r="J90" s="69">
        <f aca="true" t="shared" si="18" ref="J90:J101">H90/(L90+M90+N90+O90+P90+Q90+R90+S90)*100</f>
        <v>0</v>
      </c>
      <c r="K90" s="52">
        <f aca="true" t="shared" si="19" ref="K90:K101">L90+M90+N90+O90+P90+Q90+R90+S90+T90-H90</f>
        <v>400000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f>10000-200000</f>
        <v>-190000</v>
      </c>
      <c r="T90" s="59">
        <f>200000</f>
        <v>200000</v>
      </c>
      <c r="U90" s="59"/>
      <c r="V90" s="59"/>
      <c r="W90" s="59">
        <f>192000-192000</f>
        <v>0</v>
      </c>
      <c r="X90" s="59">
        <f t="shared" si="17"/>
        <v>400000</v>
      </c>
      <c r="Y90" s="71">
        <f t="shared" si="16"/>
        <v>0</v>
      </c>
    </row>
    <row r="91" spans="1:25" s="80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5"/>
        <v>248000</v>
      </c>
      <c r="G91" s="25">
        <v>248000</v>
      </c>
      <c r="H91" s="25"/>
      <c r="I91" s="46"/>
      <c r="J91" s="69">
        <f t="shared" si="18"/>
        <v>0</v>
      </c>
      <c r="K91" s="52">
        <f t="shared" si="19"/>
        <v>81000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7"/>
        <v>248000</v>
      </c>
      <c r="Y91" s="71">
        <f t="shared" si="16"/>
        <v>0</v>
      </c>
    </row>
    <row r="92" spans="1:25" s="80" customFormat="1" ht="40.5" customHeight="1">
      <c r="A92" s="1"/>
      <c r="B92" s="29"/>
      <c r="C92" s="55" t="s">
        <v>92</v>
      </c>
      <c r="D92" s="32">
        <f aca="true" t="shared" si="20" ref="D92:D100">F92</f>
        <v>10545999.2</v>
      </c>
      <c r="E92" s="6"/>
      <c r="F92" s="25">
        <f t="shared" si="15"/>
        <v>10545999.2</v>
      </c>
      <c r="G92" s="32">
        <f>13000000-2454000.8</f>
        <v>10545999.2</v>
      </c>
      <c r="H92" s="25"/>
      <c r="I92" s="46"/>
      <c r="J92" s="69">
        <f t="shared" si="18"/>
        <v>0</v>
      </c>
      <c r="K92" s="52">
        <f t="shared" si="19"/>
        <v>4508000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f>6490000+235000-1000000-3000000-1400000-1100000</f>
        <v>225000</v>
      </c>
      <c r="T92" s="60">
        <f>470000+29854+1400000</f>
        <v>1899854</v>
      </c>
      <c r="U92" s="60">
        <f>1000000+507000+1000000-569000.8+3000000</f>
        <v>4937999.2</v>
      </c>
      <c r="V92" s="60">
        <f>1000000-1000000+1100000</f>
        <v>1100000</v>
      </c>
      <c r="W92" s="60">
        <f>855000+30000-885000</f>
        <v>0</v>
      </c>
      <c r="X92" s="59">
        <f t="shared" si="17"/>
        <v>10545999.2</v>
      </c>
      <c r="Y92" s="71">
        <f t="shared" si="16"/>
        <v>0</v>
      </c>
    </row>
    <row r="93" spans="1:25" s="80" customFormat="1" ht="40.5" customHeight="1">
      <c r="A93" s="1"/>
      <c r="B93" s="29"/>
      <c r="C93" s="55" t="s">
        <v>93</v>
      </c>
      <c r="D93" s="32">
        <f t="shared" si="20"/>
        <v>3585100</v>
      </c>
      <c r="E93" s="6"/>
      <c r="F93" s="25">
        <f t="shared" si="15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9">
        <f t="shared" si="18"/>
        <v>28.54271929964681</v>
      </c>
      <c r="K93" s="52">
        <f t="shared" si="19"/>
        <v>2109159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/>
      <c r="T93" s="59">
        <v>669150</v>
      </c>
      <c r="U93" s="59">
        <v>900000</v>
      </c>
      <c r="V93" s="59"/>
      <c r="W93" s="59">
        <f>747.37</f>
        <v>747.37</v>
      </c>
      <c r="X93" s="59">
        <f t="shared" si="17"/>
        <v>3585100</v>
      </c>
      <c r="Y93" s="71">
        <f t="shared" si="16"/>
        <v>0</v>
      </c>
    </row>
    <row r="94" spans="1:25" s="80" customFormat="1" ht="40.5" customHeight="1">
      <c r="A94" s="1"/>
      <c r="B94" s="29"/>
      <c r="C94" s="55" t="s">
        <v>94</v>
      </c>
      <c r="D94" s="32">
        <f t="shared" si="20"/>
        <v>300000</v>
      </c>
      <c r="E94" s="6"/>
      <c r="F94" s="25">
        <f t="shared" si="15"/>
        <v>300000</v>
      </c>
      <c r="G94" s="32">
        <v>300000</v>
      </c>
      <c r="H94" s="25">
        <f>81000+29133</f>
        <v>110133</v>
      </c>
      <c r="I94" s="46">
        <f>H94/D94*100</f>
        <v>36.711</v>
      </c>
      <c r="J94" s="69">
        <f t="shared" si="18"/>
        <v>36.711</v>
      </c>
      <c r="K94" s="52">
        <f t="shared" si="19"/>
        <v>189867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7"/>
        <v>300000</v>
      </c>
      <c r="Y94" s="71">
        <f t="shared" si="16"/>
        <v>0</v>
      </c>
    </row>
    <row r="95" spans="1:25" s="80" customFormat="1" ht="40.5" customHeight="1">
      <c r="A95" s="1"/>
      <c r="B95" s="29"/>
      <c r="C95" s="55" t="s">
        <v>95</v>
      </c>
      <c r="D95" s="32">
        <f t="shared" si="20"/>
        <v>300000</v>
      </c>
      <c r="E95" s="6"/>
      <c r="F95" s="25">
        <f t="shared" si="15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9">
        <f t="shared" si="18"/>
        <v>99.90636363636364</v>
      </c>
      <c r="K95" s="52">
        <f t="shared" si="19"/>
        <v>90103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7"/>
        <v>300000</v>
      </c>
      <c r="Y95" s="71">
        <f t="shared" si="16"/>
        <v>0</v>
      </c>
    </row>
    <row r="96" spans="1:25" s="80" customFormat="1" ht="40.5" customHeight="1">
      <c r="A96" s="1"/>
      <c r="B96" s="29"/>
      <c r="C96" s="55" t="s">
        <v>96</v>
      </c>
      <c r="D96" s="32">
        <f t="shared" si="20"/>
        <v>538000</v>
      </c>
      <c r="E96" s="6"/>
      <c r="F96" s="25">
        <f t="shared" si="15"/>
        <v>538000</v>
      </c>
      <c r="G96" s="32">
        <v>538000</v>
      </c>
      <c r="H96" s="25">
        <v>139785.59</v>
      </c>
      <c r="I96" s="46">
        <f>H96/D96*100</f>
        <v>25.982451672862457</v>
      </c>
      <c r="J96" s="69">
        <f t="shared" si="18"/>
        <v>25.982451672862457</v>
      </c>
      <c r="K96" s="52">
        <f t="shared" si="19"/>
        <v>398214.41000000003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189000</v>
      </c>
      <c r="T96" s="59"/>
      <c r="U96" s="59"/>
      <c r="V96" s="59"/>
      <c r="W96" s="59"/>
      <c r="X96" s="59">
        <f t="shared" si="17"/>
        <v>538000</v>
      </c>
      <c r="Y96" s="71">
        <f t="shared" si="16"/>
        <v>0</v>
      </c>
    </row>
    <row r="97" spans="1:25" s="80" customFormat="1" ht="21" customHeight="1">
      <c r="A97" s="1"/>
      <c r="B97" s="29"/>
      <c r="C97" s="55" t="s">
        <v>97</v>
      </c>
      <c r="D97" s="32">
        <f t="shared" si="20"/>
        <v>5000</v>
      </c>
      <c r="E97" s="6"/>
      <c r="F97" s="25">
        <f t="shared" si="15"/>
        <v>5000</v>
      </c>
      <c r="G97" s="32">
        <v>5000</v>
      </c>
      <c r="H97" s="25"/>
      <c r="I97" s="46"/>
      <c r="J97" s="69">
        <f t="shared" si="18"/>
        <v>0</v>
      </c>
      <c r="K97" s="52">
        <f t="shared" si="19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7"/>
        <v>5000</v>
      </c>
      <c r="Y97" s="71">
        <f t="shared" si="16"/>
        <v>0</v>
      </c>
    </row>
    <row r="98" spans="1:25" s="80" customFormat="1" ht="26.25" customHeight="1">
      <c r="A98" s="1"/>
      <c r="B98" s="29"/>
      <c r="C98" s="55" t="s">
        <v>98</v>
      </c>
      <c r="D98" s="32">
        <f t="shared" si="20"/>
        <v>20640</v>
      </c>
      <c r="E98" s="6"/>
      <c r="F98" s="25">
        <f t="shared" si="15"/>
        <v>20640</v>
      </c>
      <c r="G98" s="32">
        <v>20640</v>
      </c>
      <c r="H98" s="25"/>
      <c r="I98" s="46"/>
      <c r="J98" s="69"/>
      <c r="K98" s="52">
        <f t="shared" si="19"/>
        <v>20640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7"/>
        <v>20640</v>
      </c>
      <c r="Y98" s="71">
        <f t="shared" si="16"/>
        <v>0</v>
      </c>
    </row>
    <row r="99" spans="1:25" s="80" customFormat="1" ht="22.5" customHeight="1">
      <c r="A99" s="1"/>
      <c r="B99" s="29"/>
      <c r="C99" s="56" t="s">
        <v>99</v>
      </c>
      <c r="D99" s="32">
        <f t="shared" si="20"/>
        <v>250000</v>
      </c>
      <c r="E99" s="6"/>
      <c r="F99" s="25">
        <f t="shared" si="15"/>
        <v>250000</v>
      </c>
      <c r="G99" s="32">
        <v>250000</v>
      </c>
      <c r="H99" s="25"/>
      <c r="I99" s="46"/>
      <c r="J99" s="69"/>
      <c r="K99" s="52">
        <f t="shared" si="19"/>
        <v>250000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7"/>
        <v>250000</v>
      </c>
      <c r="Y99" s="71">
        <f t="shared" si="16"/>
        <v>0</v>
      </c>
    </row>
    <row r="100" spans="1:25" s="80" customFormat="1" ht="22.5" customHeight="1">
      <c r="A100" s="1"/>
      <c r="B100" s="29"/>
      <c r="C100" s="55" t="s">
        <v>100</v>
      </c>
      <c r="D100" s="32">
        <f t="shared" si="20"/>
        <v>2050000</v>
      </c>
      <c r="E100" s="6"/>
      <c r="F100" s="25">
        <f t="shared" si="15"/>
        <v>2050000</v>
      </c>
      <c r="G100" s="32">
        <f>50000+2000000</f>
        <v>2050000</v>
      </c>
      <c r="H100" s="25"/>
      <c r="I100" s="46"/>
      <c r="J100" s="69"/>
      <c r="K100" s="52">
        <f t="shared" si="19"/>
        <v>50000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7"/>
        <v>2050000</v>
      </c>
      <c r="Y100" s="71">
        <f t="shared" si="16"/>
        <v>0</v>
      </c>
    </row>
    <row r="101" spans="1:25" ht="18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136839832.98000002</v>
      </c>
      <c r="I101" s="44">
        <f>H101/D101*100</f>
        <v>56.454178228564075</v>
      </c>
      <c r="J101" s="70">
        <f t="shared" si="18"/>
        <v>82.08627912433903</v>
      </c>
      <c r="K101" s="52">
        <f t="shared" si="19"/>
        <v>47134552.03999996</v>
      </c>
      <c r="L101" s="20">
        <f aca="true" t="shared" si="21" ref="L101:X101">L8+L25+L48</f>
        <v>112816</v>
      </c>
      <c r="M101" s="20">
        <f t="shared" si="21"/>
        <v>3716000</v>
      </c>
      <c r="N101" s="20">
        <f t="shared" si="21"/>
        <v>13054000</v>
      </c>
      <c r="O101" s="20">
        <f t="shared" si="21"/>
        <v>23627301.990000002</v>
      </c>
      <c r="P101" s="20">
        <f t="shared" si="21"/>
        <v>25067943.939999998</v>
      </c>
      <c r="Q101" s="20">
        <f t="shared" si="21"/>
        <v>23413655.38</v>
      </c>
      <c r="R101" s="20">
        <f t="shared" si="21"/>
        <v>31674418.01</v>
      </c>
      <c r="S101" s="20">
        <f t="shared" si="21"/>
        <v>46036308.06</v>
      </c>
      <c r="T101" s="20">
        <f t="shared" si="21"/>
        <v>17271941.64</v>
      </c>
      <c r="U101" s="20">
        <f t="shared" si="21"/>
        <v>26720518.68</v>
      </c>
      <c r="V101" s="20">
        <f t="shared" si="21"/>
        <v>16815602.509999998</v>
      </c>
      <c r="W101" s="20">
        <f t="shared" si="21"/>
        <v>14880468.69</v>
      </c>
      <c r="X101" s="20">
        <f t="shared" si="21"/>
        <v>242390974.89999998</v>
      </c>
      <c r="Y101" s="71">
        <f t="shared" si="16"/>
        <v>0</v>
      </c>
    </row>
    <row r="102" spans="1:25" ht="18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1">
        <f t="shared" si="16"/>
        <v>0</v>
      </c>
    </row>
    <row r="103" spans="1:25" ht="18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1">
        <f t="shared" si="16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6:I46"/>
    <mergeCell ref="L4:L5"/>
    <mergeCell ref="K4:K5"/>
    <mergeCell ref="J4:J6"/>
    <mergeCell ref="J10:J14"/>
    <mergeCell ref="J17:J24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2016-08-09T12:24:13Z</cp:lastPrinted>
  <dcterms:created xsi:type="dcterms:W3CDTF">2014-01-17T10:52:16Z</dcterms:created>
  <dcterms:modified xsi:type="dcterms:W3CDTF">2016-09-01T12:12:29Z</dcterms:modified>
  <cp:category/>
  <cp:version/>
  <cp:contentType/>
  <cp:contentStatus/>
</cp:coreProperties>
</file>